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PV775\Abteilungen\Netznutzung\LRV GGEW Netz\Gas LRV KoV 9\"/>
    </mc:Choice>
  </mc:AlternateContent>
  <bookViews>
    <workbookView xWindow="0" yWindow="0" windowWidth="28800" windowHeight="11985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Q14" i="7" l="1"/>
  <c r="Q15" i="7"/>
  <c r="Q16" i="7"/>
  <c r="Q17" i="7"/>
  <c r="Q18" i="7"/>
  <c r="W18" i="7"/>
  <c r="V18" i="7"/>
  <c r="U18" i="7"/>
  <c r="T18" i="7"/>
  <c r="S18" i="7"/>
  <c r="R18" i="7"/>
  <c r="X18" i="7" s="1"/>
  <c r="W17" i="7"/>
  <c r="V17" i="7"/>
  <c r="U17" i="7"/>
  <c r="T17" i="7"/>
  <c r="X17" i="7" s="1"/>
  <c r="S17" i="7"/>
  <c r="R17" i="7"/>
  <c r="W16" i="7"/>
  <c r="V16" i="7"/>
  <c r="U16" i="7"/>
  <c r="T16" i="7"/>
  <c r="S16" i="7"/>
  <c r="R16" i="7"/>
  <c r="X16" i="7" s="1"/>
  <c r="W15" i="7"/>
  <c r="V15" i="7"/>
  <c r="X15" i="7" s="1"/>
  <c r="U15" i="7"/>
  <c r="T15" i="7"/>
  <c r="S15" i="7"/>
  <c r="R15" i="7"/>
  <c r="W14" i="7"/>
  <c r="V14" i="7"/>
  <c r="U14" i="7"/>
  <c r="T14" i="7"/>
  <c r="S14" i="7"/>
  <c r="R14" i="7"/>
  <c r="X14" i="7" s="1"/>
  <c r="X13" i="7"/>
  <c r="W13" i="7"/>
  <c r="V13" i="7"/>
  <c r="U13" i="7"/>
  <c r="T13" i="7"/>
  <c r="S13" i="7"/>
  <c r="R13" i="7"/>
  <c r="W12" i="7"/>
  <c r="V12" i="7"/>
  <c r="U12" i="7"/>
  <c r="T12" i="7"/>
  <c r="S12" i="7"/>
  <c r="R12" i="7"/>
  <c r="X12" i="7" s="1"/>
  <c r="Q13" i="7"/>
  <c r="Q12" i="7"/>
  <c r="P18" i="7"/>
  <c r="P17" i="7"/>
  <c r="P16" i="7"/>
  <c r="P15" i="7"/>
  <c r="P14" i="7"/>
  <c r="P13" i="7"/>
  <c r="P12" i="7"/>
  <c r="O18" i="7"/>
  <c r="O17" i="7"/>
  <c r="O16" i="7"/>
  <c r="O15" i="7"/>
  <c r="O14" i="7"/>
  <c r="O13" i="7"/>
  <c r="N18" i="7"/>
  <c r="N17" i="7"/>
  <c r="N16" i="7"/>
  <c r="N15" i="7"/>
  <c r="N14" i="7"/>
  <c r="N13" i="7"/>
  <c r="M18" i="7"/>
  <c r="M17" i="7"/>
  <c r="M16" i="7"/>
  <c r="M15" i="7"/>
  <c r="M14" i="7"/>
  <c r="M13" i="7"/>
  <c r="M12" i="7"/>
  <c r="L18" i="7"/>
  <c r="L17" i="7"/>
  <c r="L16" i="7"/>
  <c r="L15" i="7"/>
  <c r="L14" i="7"/>
  <c r="L13" i="7"/>
  <c r="L12" i="7"/>
  <c r="K18" i="7"/>
  <c r="K17" i="7"/>
  <c r="K16" i="7"/>
  <c r="K15" i="7"/>
  <c r="K14" i="7"/>
  <c r="K13" i="7"/>
  <c r="K12" i="7"/>
  <c r="J18" i="7"/>
  <c r="J17" i="7"/>
  <c r="J16" i="7"/>
  <c r="J15" i="7"/>
  <c r="J14" i="7"/>
  <c r="J13" i="7"/>
  <c r="J12" i="7"/>
  <c r="I18" i="7"/>
  <c r="I17" i="7"/>
  <c r="I16" i="7"/>
  <c r="I15" i="7"/>
  <c r="I14" i="7"/>
  <c r="I13" i="7"/>
  <c r="I12" i="7"/>
  <c r="H13" i="7"/>
  <c r="H14" i="7"/>
  <c r="H15" i="7"/>
  <c r="H16" i="7"/>
  <c r="H17" i="7"/>
  <c r="H18" i="7"/>
  <c r="H12" i="7"/>
  <c r="F18" i="7"/>
  <c r="F17" i="7"/>
  <c r="F16" i="7"/>
  <c r="F15" i="7"/>
  <c r="F14" i="7"/>
  <c r="F13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K53" i="18"/>
  <c r="E63" i="18"/>
  <c r="G63" i="18"/>
  <c r="F53" i="18"/>
  <c r="M63" i="18"/>
  <c r="I53" i="18"/>
  <c r="N53" i="18"/>
  <c r="E53" i="18"/>
  <c r="J53" i="18"/>
  <c r="F63" i="18"/>
  <c r="K63" i="18"/>
  <c r="D22" i="18"/>
  <c r="J21" i="18" s="1"/>
  <c r="G53" i="18"/>
  <c r="D56" i="18" s="1"/>
  <c r="J55" i="18" s="1"/>
  <c r="M53" i="18"/>
  <c r="I63" i="18"/>
  <c r="N63" i="18"/>
  <c r="N21" i="18"/>
  <c r="M21" i="18"/>
  <c r="I21" i="18"/>
  <c r="K21" i="18"/>
  <c r="G21" i="18"/>
  <c r="K31" i="18"/>
  <c r="G31" i="18"/>
  <c r="F31" i="18"/>
  <c r="M31" i="18"/>
  <c r="H53" i="18"/>
  <c r="H63" i="18"/>
  <c r="D24" i="15"/>
  <c r="C23" i="15"/>
  <c r="J31" i="18" l="1"/>
  <c r="H31" i="18"/>
  <c r="H21" i="18"/>
  <c r="E21" i="18" s="1"/>
  <c r="F21" i="18"/>
  <c r="I31" i="18"/>
  <c r="N31" i="18"/>
  <c r="L21" i="18"/>
  <c r="E31" i="18"/>
  <c r="D66" i="18"/>
  <c r="K65" i="18" s="1"/>
  <c r="M65" i="18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2" i="7" l="1"/>
  <c r="O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1" i="7" l="1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<sst xmlns="http://schemas.openxmlformats.org/spreadsheetml/2006/main" count="1361" uniqueCount="672">
  <si>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</si>
  <si>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</si>
  <si>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</si>
  <si>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</si>
  <si>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</si>
  <si>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</si>
  <si>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</si>
  <si>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</si>
  <si>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</si>
  <si>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</si>
  <si>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</si>
  <si>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</si>
  <si>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</si>
  <si>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</si>
  <si>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</si>
  <si>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</si>
  <si>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</si>
  <si>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</si>
  <si>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</si>
  <si>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</si>
  <si>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</si>
  <si>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</si>
  <si>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</si>
  <si>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</si>
  <si>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</si>
  <si>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</si>
  <si>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</si>
  <si>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</si>
  <si>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</si>
  <si>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</si>
  <si>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</si>
  <si>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</si>
  <si>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</si>
  <si>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</si>
  <si>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</si>
  <si>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</si>
  <si>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</si>
  <si>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</si>
  <si>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</si>
  <si>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</si>
  <si>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</si>
  <si>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</si>
  <si>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</si>
  <si>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</si>
  <si>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</si>
  <si>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</si>
  <si>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</si>
  <si>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</si>
  <si>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</si>
  <si>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</si>
  <si>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</si>
  <si>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</si>
  <si>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</si>
  <si>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</si>
  <si>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</si>
  <si>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</si>
  <si>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</si>
  <si>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</si>
  <si>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</si>
  <si>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</si>
  <si>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</si>
  <si>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</si>
  <si>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</si>
  <si>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</si>
  <si>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</si>
  <si>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</si>
  <si>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</si>
  <si>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</si>
  <si>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</si>
  <si>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</si>
  <si>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</si>
  <si>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</si>
  <si>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</si>
  <si>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</si>
  <si>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</si>
  <si>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</si>
  <si>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</si>
  <si>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</si>
  <si>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</si>
  <si>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</si>
  <si>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</si>
  <si>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</si>
  <si>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</si>
  <si>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</si>
  <si>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</si>
  <si>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</si>
  <si>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</si>
  <si>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</si>
  <si>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</si>
  <si>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</si>
  <si>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</si>
  <si>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</si>
  <si>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</si>
  <si>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</si>
  <si>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</si>
  <si>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</si>
  <si>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</si>
  <si>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</si>
  <si>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</si>
  <si>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</si>
  <si>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</si>
  <si>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</si>
  <si>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</si>
  <si>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</si>
  <si>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</si>
  <si>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</si>
  <si>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</si>
  <si>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</si>
  <si>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</si>
  <si>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</si>
  <si>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</si>
  <si>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</si>
  <si>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</si>
  <si>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</si>
  <si>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</si>
  <si>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</si>
  <si>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</si>
  <si>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</si>
  <si>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</si>
  <si>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</si>
  <si>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</si>
  <si>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</si>
  <si>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</si>
  <si>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</si>
  <si>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</si>
  <si>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</si>
  <si>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</si>
  <si>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</si>
  <si>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</si>
  <si>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</si>
  <si>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</si>
  <si>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</si>
  <si>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</si>
  <si>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</si>
  <si>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</si>
  <si>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</si>
  <si>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</si>
  <si>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</si>
  <si>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</si>
  <si>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</si>
  <si>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</si>
  <si>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</si>
  <si>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</si>
  <si>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</si>
  <si>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</si>
  <si>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</si>
  <si>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</si>
  <si>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</si>
  <si>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</si>
  <si>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</si>
  <si>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</si>
  <si>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</si>
  <si>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</si>
  <si>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</si>
  <si>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</si>
  <si>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</si>
  <si>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</si>
  <si>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</si>
  <si>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</si>
  <si>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</si>
  <si>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</si>
  <si>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</si>
  <si>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</si>
  <si>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</si>
  <si>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</si>
  <si>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</si>
  <si>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</si>
  <si>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</si>
  <si>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</si>
  <si>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</si>
  <si>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</si>
  <si>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</si>
  <si>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</si>
  <si>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</si>
  <si>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</si>
  <si>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</si>
  <si>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</si>
  <si>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</si>
  <si>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</si>
  <si>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</si>
  <si>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</si>
  <si>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</si>
  <si>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</si>
  <si>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</si>
  <si>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</si>
  <si>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</si>
  <si>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</si>
  <si>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</si>
  <si>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</si>
  <si>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</si>
  <si>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</si>
  <si>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</si>
  <si>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</si>
  <si>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</si>
  <si>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</si>
  <si>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</si>
  <si>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</si>
  <si>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</si>
  <si>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</si>
  <si>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</si>
  <si>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</si>
  <si>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</si>
  <si>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</si>
  <si>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</si>
  <si>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</si>
  <si>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</si>
  <si>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</si>
  <si>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</si>
  <si>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</si>
  <si>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</si>
  <si>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</si>
  <si>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</si>
  <si>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</si>
  <si>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</si>
  <si>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</si>
  <si>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</si>
  <si>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</si>
  <si>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</si>
  <si>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</si>
  <si>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</si>
  <si>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</si>
  <si>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</si>
  <si>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</si>
  <si>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</si>
  <si>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</si>
  <si>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</si>
  <si>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</si>
  <si>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</si>
  <si>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</si>
  <si>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</si>
  <si>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</si>
  <si>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</si>
  <si>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</si>
  <si>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</si>
  <si>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</si>
  <si>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</si>
  <si>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</si>
  <si>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</si>
  <si>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</si>
  <si>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</si>
  <si>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</si>
  <si>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</si>
  <si>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</si>
  <si>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</si>
  <si>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</si>
  <si>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</si>
  <si>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</si>
  <si>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</si>
  <si>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</si>
  <si>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</si>
  <si>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</si>
  <si>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</si>
  <si>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</si>
  <si>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</si>
  <si>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</si>
  <si>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</si>
  <si>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</si>
  <si>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</si>
  <si>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</si>
  <si>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</si>
  <si>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</si>
  <si>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</si>
  <si>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</si>
  <si>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</si>
  <si>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</si>
  <si>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</si>
  <si>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</si>
  <si>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</si>
  <si>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</si>
  <si>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</si>
  <si>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</si>
  <si>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</si>
  <si>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</si>
  <si>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</si>
  <si>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</si>
  <si>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</si>
  <si>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</si>
  <si>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</si>
  <si>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</si>
  <si>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</si>
  <si>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</si>
  <si>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</si>
  <si>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</si>
  <si>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</si>
  <si>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</si>
  <si>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</si>
  <si>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</si>
  <si>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</si>
  <si>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</si>
  <si>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</si>
  <si>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</si>
  <si>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</si>
  <si>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</si>
  <si>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</si>
  <si>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</si>
  <si>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</si>
  <si>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</si>
  <si>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</si>
  <si>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</si>
  <si>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</si>
  <si>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</si>
  <si>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</si>
  <si>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</si>
  <si>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</si>
  <si>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</si>
  <si>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</si>
  <si>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</si>
  <si>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</si>
  <si>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</si>
  <si>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</si>
  <si>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</si>
  <si>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</si>
  <si>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</si>
  <si>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</si>
  <si>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</si>
  <si>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</si>
  <si>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</si>
  <si>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</si>
  <si>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</si>
  <si>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</si>
  <si>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</si>
  <si>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</si>
  <si>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</si>
  <si>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</si>
  <si>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</si>
  <si>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</si>
  <si>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</si>
  <si>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</si>
  <si>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</si>
  <si>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</si>
  <si>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</si>
  <si>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</si>
  <si>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</si>
  <si>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</si>
  <si>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</si>
  <si>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</si>
  <si>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</si>
  <si>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</si>
  <si>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</si>
  <si>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</si>
  <si>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</si>
  <si>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</si>
  <si>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</si>
  <si>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</si>
  <si>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</si>
  <si>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</si>
  <si>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</si>
  <si>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</si>
  <si>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</si>
  <si>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</si>
  <si>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</si>
  <si>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</si>
  <si>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</si>
  <si>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</si>
  <si>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</si>
  <si>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</si>
  <si>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</si>
  <si>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</si>
  <si>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</si>
  <si>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</si>
  <si>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</si>
  <si>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</si>
  <si>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</si>
  <si>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</si>
  <si>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</si>
  <si>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</si>
  <si>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</si>
  <si>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</si>
  <si>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</si>
  <si>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</si>
  <si>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</si>
  <si>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</si>
  <si>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</si>
  <si>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</si>
  <si>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</si>
  <si>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</si>
  <si>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</si>
  <si>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</si>
  <si>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</si>
  <si>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</si>
  <si>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</si>
  <si>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</si>
  <si>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</si>
  <si>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</si>
  <si>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</si>
  <si>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</si>
  <si>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</si>
  <si>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</si>
  <si>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</si>
  <si>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</si>
  <si>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</si>
  <si>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</si>
  <si>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</si>
  <si>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</si>
  <si>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</si>
  <si>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</si>
  <si>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</si>
  <si>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</si>
  <si>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</si>
  <si>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</si>
  <si>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</si>
  <si>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</si>
  <si>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</si>
  <si>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</si>
  <si>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</si>
  <si>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</si>
  <si>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</si>
  <si>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</si>
  <si>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</si>
  <si>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</si>
  <si>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</si>
  <si>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</si>
  <si>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</si>
  <si>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</si>
  <si>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</si>
  <si>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</si>
  <si>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</si>
  <si>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</si>
  <si>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</si>
  <si>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</si>
  <si>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</si>
  <si>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</si>
  <si>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</si>
  <si>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</si>
  <si>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</si>
  <si>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</si>
  <si>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</si>
  <si>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</si>
  <si>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</si>
  <si>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</si>
  <si>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</si>
  <si>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</si>
  <si>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</si>
  <si>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</si>
  <si>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</si>
  <si>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</si>
  <si>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</si>
  <si>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</si>
  <si>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</si>
  <si>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</si>
  <si>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</si>
  <si>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</si>
  <si>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</si>
  <si>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</si>
  <si>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</si>
  <si>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</si>
  <si>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</si>
  <si>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</si>
  <si>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</si>
  <si>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</si>
  <si>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</si>
  <si>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</si>
  <si>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</si>
  <si>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</si>
  <si>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</si>
  <si>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</si>
  <si>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</si>
  <si>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</si>
  <si>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</si>
  <si>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</si>
  <si>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</si>
  <si>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</si>
  <si>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</si>
  <si>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</si>
  <si>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</si>
  <si>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</si>
  <si>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</si>
  <si>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</si>
  <si>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</si>
  <si>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</si>
  <si>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</si>
  <si>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</si>
  <si>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</si>
  <si>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</si>
  <si>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</si>
  <si>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</si>
  <si>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</si>
  <si>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</si>
  <si>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</si>
  <si>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</si>
  <si>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</si>
  <si>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</si>
  <si>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</si>
  <si>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</si>
  <si>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</si>
  <si>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</si>
  <si>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</si>
  <si>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</si>
  <si>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</si>
  <si>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</si>
  <si>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</si>
  <si>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</si>
  <si>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</si>
  <si>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</si>
  <si>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</si>
  <si>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</si>
  <si>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</si>
  <si>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</si>
  <si>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</si>
  <si>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</si>
  <si>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</si>
  <si>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</si>
  <si>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</si>
  <si>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</si>
  <si>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</si>
  <si>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DE_HMF33</t>
  </si>
  <si>
    <t>DE_GHD33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</si>
  <si>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</si>
  <si>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</si>
  <si>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</si>
  <si>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</si>
  <si>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</si>
  <si>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</si>
  <si>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</si>
  <si>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</si>
  <si>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</si>
  <si>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</si>
  <si>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</si>
  <si>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</si>
  <si>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</si>
  <si>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</si>
  <si>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</si>
  <si>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</si>
  <si>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</si>
  <si>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</si>
  <si>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</si>
  <si>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</si>
  <si>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</si>
  <si>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</si>
  <si>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</si>
  <si>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</si>
  <si>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</si>
  <si>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</si>
  <si>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</si>
  <si>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</si>
  <si>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</si>
  <si>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</si>
  <si>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</si>
  <si>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</si>
  <si>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</si>
  <si>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</si>
  <si>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</si>
  <si>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</si>
  <si>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</si>
  <si>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</si>
  <si>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</si>
  <si>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</si>
  <si>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</si>
  <si>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</si>
  <si>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</si>
  <si>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</si>
  <si>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</si>
  <si>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</si>
  <si>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</si>
  <si>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</si>
  <si>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</si>
  <si>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</si>
  <si>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</si>
  <si>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</si>
  <si>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</si>
  <si>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</si>
  <si>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</si>
  <si>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</si>
  <si>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</si>
  <si>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</si>
  <si>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</si>
  <si>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</si>
  <si>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</si>
  <si>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</si>
  <si>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</si>
  <si>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</si>
  <si>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</si>
  <si>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</si>
  <si>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</si>
  <si>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</si>
  <si>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</si>
  <si>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</si>
  <si>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</si>
  <si>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</si>
  <si>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</si>
  <si>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</si>
  <si>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</si>
  <si>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</si>
  <si>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</si>
  <si>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</si>
  <si>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</si>
  <si>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</si>
  <si>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</si>
  <si>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</si>
  <si>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</si>
  <si>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</si>
  <si>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</si>
  <si>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</si>
  <si>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</si>
  <si>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</si>
  <si>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</si>
  <si>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</si>
  <si>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</si>
  <si>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</si>
  <si>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</si>
  <si>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</si>
  <si>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</si>
  <si>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</si>
  <si>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</si>
  <si>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</si>
  <si>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</si>
  <si>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</si>
  <si>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</si>
  <si>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</si>
  <si>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</si>
  <si>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</si>
  <si>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</si>
  <si>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</si>
  <si>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</si>
  <si>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</si>
  <si>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</si>
  <si>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</si>
  <si>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</si>
  <si>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</si>
  <si>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</si>
  <si>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</si>
  <si>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</si>
  <si>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</si>
  <si>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</si>
  <si>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</si>
  <si>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</si>
  <si>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</si>
  <si>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</si>
  <si>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</si>
  <si>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</si>
  <si>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</si>
  <si>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</si>
  <si>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</si>
  <si>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</si>
  <si>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</si>
  <si>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</si>
  <si>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</si>
  <si>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</si>
  <si>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</si>
  <si>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</si>
  <si>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</si>
  <si>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</si>
  <si>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</si>
  <si>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</si>
  <si>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</si>
  <si>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</si>
  <si>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</si>
  <si>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</si>
  <si>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</si>
  <si>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</si>
  <si>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</si>
  <si>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</si>
  <si>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</si>
  <si>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</si>
  <si>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</si>
  <si>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</si>
  <si>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</si>
  <si>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</si>
  <si>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</si>
  <si>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Gruppen- Gas- und Elektrizitätswerk Bergstraße AG</t>
  </si>
  <si>
    <t>9870008600008</t>
  </si>
  <si>
    <t>Dammstr. 68</t>
  </si>
  <si>
    <t>D-64625</t>
  </si>
  <si>
    <t>Bensheim</t>
  </si>
  <si>
    <t>Andreas Blahnik</t>
  </si>
  <si>
    <t>nnteam@ggew.de</t>
  </si>
  <si>
    <t>06251 / 1301 - 472</t>
  </si>
  <si>
    <t>GGEW AG</t>
  </si>
  <si>
    <t>GASPOOLNH7000861</t>
  </si>
  <si>
    <t>NCHN007000860000</t>
  </si>
  <si>
    <t>DE_GHD04</t>
  </si>
  <si>
    <t>meteogroup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</si>
</sst>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H10" sqref="H1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655</v>
      </c>
    </row>
    <row r="8" spans="2:7" s="8" customFormat="1">
      <c r="B8" s="8" t="s">
        <v>658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656</v>
      </c>
    </row>
    <row r="12" spans="2:7" s="8" customFormat="1">
      <c r="B12" s="8" t="s">
        <v>497</v>
      </c>
    </row>
    <row r="13" spans="2:7" s="8" customFormat="1">
      <c r="B13" s="8" t="s">
        <v>657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652</v>
      </c>
      <c r="D4" s="27">
        <v>42654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651</v>
      </c>
      <c r="D6" s="27">
        <v>42705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659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483</v>
      </c>
      <c r="D11" s="331" t="s">
        <v>660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661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 t="s">
        <v>662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663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458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GGEW AG</v>
      </c>
      <c r="E28" s="38"/>
      <c r="F28" s="11"/>
      <c r="G28" s="2"/>
    </row>
    <row r="29" spans="1:15">
      <c r="B29" s="15"/>
      <c r="C29" s="22" t="s">
        <v>395</v>
      </c>
      <c r="D29" s="45" t="s">
        <v>667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0" priority="2">
      <formula>IF(CELL("Zeile",D29)&lt;$D$25+CELL("Zeile",$D$29),1,0)</formula>
    </cfRule>
  </conditionalFormatting>
  <conditionalFormatting sqref="D30:D48">
    <cfRule type="expression" dxfId="69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28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Gruppen- Gas- und Elektrizitätswerk Bergstraße AG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GGEW AG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8" t="str">
        <f>Netzbetreiber!$D$11</f>
        <v>9870008600008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42705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260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613</v>
      </c>
      <c r="D13" s="33" t="s">
        <v>614</v>
      </c>
      <c r="E13" s="15"/>
      <c r="H13" s="271" t="s">
        <v>614</v>
      </c>
      <c r="I13" s="271" t="s">
        <v>615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429</v>
      </c>
      <c r="D15" s="42" t="s">
        <v>669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668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573</v>
      </c>
      <c r="I19" s="270" t="s">
        <v>486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487</v>
      </c>
      <c r="I20" s="270" t="s">
        <v>488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611</v>
      </c>
      <c r="D22" s="49" t="s">
        <v>607</v>
      </c>
      <c r="E22" s="15"/>
      <c r="H22" s="267" t="s">
        <v>607</v>
      </c>
      <c r="I22" s="267" t="s">
        <v>608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609</v>
      </c>
      <c r="E23" s="15"/>
      <c r="H23" s="267" t="s">
        <v>610</v>
      </c>
      <c r="I23" s="8" t="s">
        <v>606</v>
      </c>
      <c r="J23" s="8"/>
      <c r="K23" s="8"/>
      <c r="L23" s="268"/>
    </row>
    <row r="24" spans="2:16" ht="15" customHeight="1">
      <c r="B24" s="22"/>
      <c r="C24" s="24" t="s">
        <v>612</v>
      </c>
      <c r="D24" s="24" t="str">
        <f>IF(D22=$H$22,L24,IF(D23=$H$24,M24,N24))</f>
        <v>=&gt;  Q(D) = KW  x  h(T, SLP-Typ)  x  F(WT)</v>
      </c>
      <c r="E24" s="15"/>
      <c r="H24" s="267" t="s">
        <v>609</v>
      </c>
      <c r="I24" s="267" t="s">
        <v>616</v>
      </c>
      <c r="J24" s="8"/>
      <c r="K24" s="8"/>
      <c r="L24" s="270" t="s">
        <v>617</v>
      </c>
      <c r="M24" s="270" t="s">
        <v>619</v>
      </c>
      <c r="N24" s="270" t="s">
        <v>618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576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620</v>
      </c>
      <c r="D27" s="42" t="s">
        <v>621</v>
      </c>
      <c r="E27" s="15"/>
      <c r="H27" s="297" t="s">
        <v>621</v>
      </c>
      <c r="I27" s="269" t="s">
        <v>622</v>
      </c>
      <c r="J27" s="269" t="s">
        <v>623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624</v>
      </c>
      <c r="I28" s="270" t="s">
        <v>625</v>
      </c>
      <c r="J28" s="270" t="s">
        <v>626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627</v>
      </c>
      <c r="I29" s="270" t="s">
        <v>628</v>
      </c>
      <c r="J29" s="270" t="s">
        <v>629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491</v>
      </c>
      <c r="C31" s="6" t="s">
        <v>575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630</v>
      </c>
      <c r="I32" s="270" t="s">
        <v>631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632</v>
      </c>
      <c r="I33" s="267" t="s">
        <v>627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547</v>
      </c>
      <c r="C35" s="24" t="s">
        <v>494</v>
      </c>
      <c r="D35" s="42">
        <v>7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548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549</v>
      </c>
      <c r="C40" s="5" t="s">
        <v>366</v>
      </c>
      <c r="D40" s="36">
        <v>500</v>
      </c>
      <c r="E40" s="15" t="s">
        <v>539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538</v>
      </c>
    </row>
    <row r="44" spans="2:39" ht="18" customHeight="1">
      <c r="C44" s="3" t="s">
        <v>540</v>
      </c>
    </row>
    <row r="45" spans="2:39" ht="18" customHeight="1">
      <c r="C45" s="3"/>
    </row>
    <row r="46" spans="2:39" ht="15" customHeight="1">
      <c r="B46" s="22" t="s">
        <v>550</v>
      </c>
      <c r="C46" s="60" t="s">
        <v>574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584</v>
      </c>
      <c r="D48" s="45" t="s">
        <v>667</v>
      </c>
    </row>
    <row r="49" spans="3:4" ht="18" customHeight="1">
      <c r="C49" s="22" t="s">
        <v>585</v>
      </c>
      <c r="D49" s="45"/>
    </row>
    <row r="50" spans="3:4" ht="18" customHeight="1">
      <c r="C50" s="22" t="s">
        <v>586</v>
      </c>
      <c r="D50" s="45"/>
    </row>
    <row r="51" spans="3:4" ht="18" customHeight="1">
      <c r="C51" s="22" t="s">
        <v>587</v>
      </c>
      <c r="D51" s="45"/>
    </row>
    <row r="52" spans="3:4" ht="18" customHeight="1">
      <c r="C52" s="22" t="s">
        <v>588</v>
      </c>
      <c r="D52" s="45"/>
    </row>
    <row r="53" spans="3:4" ht="18" customHeight="1">
      <c r="C53" s="22" t="s">
        <v>589</v>
      </c>
      <c r="D53" s="45"/>
    </row>
    <row r="54" spans="3:4" ht="18" customHeight="1">
      <c r="C54" s="22" t="s">
        <v>590</v>
      </c>
      <c r="D54" s="45"/>
    </row>
    <row r="55" spans="3:4" ht="18" customHeight="1">
      <c r="C55" s="22" t="s">
        <v>591</v>
      </c>
      <c r="D55" s="45"/>
    </row>
    <row r="56" spans="3:4" ht="18" customHeight="1">
      <c r="C56" s="22" t="s">
        <v>592</v>
      </c>
      <c r="D56" s="45"/>
    </row>
    <row r="57" spans="3:4" ht="18" customHeight="1">
      <c r="C57" s="22" t="s">
        <v>593</v>
      </c>
      <c r="D57" s="45"/>
    </row>
    <row r="58" spans="3:4" ht="18" customHeight="1">
      <c r="C58" s="22" t="s">
        <v>594</v>
      </c>
      <c r="D58" s="45"/>
    </row>
    <row r="59" spans="3:4" ht="18" customHeight="1">
      <c r="C59" s="22" t="s">
        <v>595</v>
      </c>
      <c r="D59" s="45"/>
    </row>
    <row r="60" spans="3:4" ht="18" customHeight="1">
      <c r="C60" s="22" t="s">
        <v>596</v>
      </c>
      <c r="D60" s="45"/>
    </row>
    <row r="61" spans="3:4" ht="18" customHeight="1">
      <c r="C61" s="22" t="s">
        <v>597</v>
      </c>
      <c r="D61" s="45"/>
    </row>
    <row r="62" spans="3:4" ht="18" customHeight="1">
      <c r="C62" s="22" t="s">
        <v>598</v>
      </c>
      <c r="D62" s="45"/>
    </row>
  </sheetData>
  <sheetProtection sheet="1" objects="1" scenarios="1"/>
  <conditionalFormatting sqref="D15">
    <cfRule type="expression" dxfId="68" priority="21">
      <formula>IF($D$11="Gaspool",1,0)</formula>
    </cfRule>
  </conditionalFormatting>
  <conditionalFormatting sqref="D16">
    <cfRule type="expression" dxfId="67" priority="18">
      <formula>IF($D$11="NCG",1,0)</formula>
    </cfRule>
  </conditionalFormatting>
  <conditionalFormatting sqref="D48:D62">
    <cfRule type="expression" dxfId="66" priority="17">
      <formula>IF(CELL("Zeile",D48)&lt;$D$46+CELL("Zeile",$D$48),1,0)</formula>
    </cfRule>
  </conditionalFormatting>
  <conditionalFormatting sqref="D49:D62">
    <cfRule type="expression" dxfId="65" priority="16">
      <formula>IF(CELL(D49)&lt;$D$36+27,1,0)</formula>
    </cfRule>
  </conditionalFormatting>
  <conditionalFormatting sqref="D23">
    <cfRule type="expression" dxfId="64" priority="15">
      <formula>IF($D$22=$H$22,1,0)</formula>
    </cfRule>
  </conditionalFormatting>
  <conditionalFormatting sqref="D31">
    <cfRule type="expression" dxfId="63" priority="4">
      <formula>IF($D$18="synthetisch",1,0)</formula>
    </cfRule>
  </conditionalFormatting>
  <conditionalFormatting sqref="D28">
    <cfRule type="expression" dxfId="62" priority="2">
      <formula>IF(AND($D$27=$I$27,$D$26=$H$26),1,0)</formula>
    </cfRule>
  </conditionalFormatting>
  <conditionalFormatting sqref="D26:D28">
    <cfRule type="expression" dxfId="61" priority="5">
      <formula>IF($D$18="analytisch",1,0)</formula>
    </cfRule>
  </conditionalFormatting>
  <conditionalFormatting sqref="D27">
    <cfRule type="expression" dxfId="60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80" zoomScaleNormal="80" workbookViewId="0">
      <selection activeCell="O67" sqref="O67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Netzbetreiber!D9</f>
        <v>Gruppen- Gas- und Elektrizitätswerk Bergstraße AG</v>
      </c>
      <c r="F4" s="330"/>
      <c r="G4" s="330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GGEW AG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Netzbetreiber!D11</f>
        <v>9870008600008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42705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1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 t="str">
        <f>INDEX('SLP-Verfahren'!D48:D62,'SLP-Temp-Gebiet #01'!F10)</f>
        <v>GGEW AG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671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514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671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663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>
        <v>9646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536</v>
      </c>
      <c r="E36" s="161" t="s">
        <v>451</v>
      </c>
      <c r="F36" s="161" t="s">
        <v>451</v>
      </c>
      <c r="G36" s="161" t="s">
        <v>451</v>
      </c>
      <c r="H36" s="161" t="s">
        <v>451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514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Bensheim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>
        <f>E25</f>
        <v>9646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525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442</v>
      </c>
      <c r="D70" s="118" t="s">
        <v>536</v>
      </c>
      <c r="E70" s="162" t="s">
        <v>452</v>
      </c>
      <c r="F70" s="162" t="s">
        <v>452</v>
      </c>
      <c r="G70" s="162" t="str">
        <f t="shared" ref="G70:N70" si="17">G36</f>
        <v>Temp.-Prog.</v>
      </c>
      <c r="H70" s="162" t="str">
        <f t="shared" si="17"/>
        <v>Temp.-Prog.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8" priority="28">
      <formula>IF(E$20&lt;=$F$18,1,0)</formula>
    </cfRule>
  </conditionalFormatting>
  <conditionalFormatting sqref="E32:N36">
    <cfRule type="expression" dxfId="57" priority="27">
      <formula>IF(E$30&lt;=$F$28,1,0)</formula>
    </cfRule>
  </conditionalFormatting>
  <conditionalFormatting sqref="E26:F26">
    <cfRule type="expression" dxfId="56" priority="26">
      <formula>IF(E$20&lt;=$F$18,1,0)</formula>
    </cfRule>
  </conditionalFormatting>
  <conditionalFormatting sqref="E26:N26">
    <cfRule type="expression" dxfId="55" priority="25">
      <formula>IF(E$20&lt;=$F$18,1,0)</formula>
    </cfRule>
  </conditionalFormatting>
  <conditionalFormatting sqref="E56:N59">
    <cfRule type="expression" dxfId="54" priority="22">
      <formula>IF(E$54&lt;=$F$52,1,0)</formula>
    </cfRule>
  </conditionalFormatting>
  <conditionalFormatting sqref="E60:N60">
    <cfRule type="expression" dxfId="53" priority="21">
      <formula>IF(E$54&lt;=$F$52,1,0)</formula>
    </cfRule>
  </conditionalFormatting>
  <conditionalFormatting sqref="E66:N68">
    <cfRule type="expression" dxfId="52" priority="15">
      <formula>IF(E$64&lt;=$F$62,1,0)</formula>
    </cfRule>
  </conditionalFormatting>
  <conditionalFormatting sqref="E65:N68 E70:N70">
    <cfRule type="expression" dxfId="51" priority="13">
      <formula>IF(E$64&gt;$F$62,1,0)</formula>
    </cfRule>
  </conditionalFormatting>
  <conditionalFormatting sqref="E56:N60">
    <cfRule type="expression" dxfId="50" priority="12">
      <formula>IF(E$54&gt;$F$52,1,0)</formula>
    </cfRule>
  </conditionalFormatting>
  <conditionalFormatting sqref="E21:N26">
    <cfRule type="expression" dxfId="49" priority="11">
      <formula>IF(E$20&gt;$F$18,1,0)</formula>
    </cfRule>
  </conditionalFormatting>
  <conditionalFormatting sqref="E32:N36">
    <cfRule type="expression" dxfId="48" priority="10">
      <formula>IF(E$30&gt;$F$28,1,0)</formula>
    </cfRule>
  </conditionalFormatting>
  <conditionalFormatting sqref="H11 H8:H9">
    <cfRule type="expression" dxfId="47" priority="9">
      <formula>IF($F$9=1,1,0)</formula>
    </cfRule>
  </conditionalFormatting>
  <conditionalFormatting sqref="E55:N55">
    <cfRule type="expression" dxfId="46" priority="8">
      <formula>IF(E$54&gt;$F$52,1,0)</formula>
    </cfRule>
  </conditionalFormatting>
  <conditionalFormatting sqref="E31:N31">
    <cfRule type="expression" dxfId="45" priority="7">
      <formula>IF(E$30&gt;$F$28,1,0)</formula>
    </cfRule>
  </conditionalFormatting>
  <conditionalFormatting sqref="E70:N70">
    <cfRule type="expression" dxfId="44" priority="6">
      <formula>IF(E$64&lt;=$F$62,1,0)</formula>
    </cfRule>
  </conditionalFormatting>
  <conditionalFormatting sqref="H10">
    <cfRule type="expression" dxfId="43" priority="5">
      <formula>IF($F$9=1,1,0)</formula>
    </cfRule>
  </conditionalFormatting>
  <conditionalFormatting sqref="E69:N69">
    <cfRule type="expression" dxfId="42" priority="2">
      <formula>IF(E$64&lt;=$F$62,1,0)</formula>
    </cfRule>
  </conditionalFormatting>
  <conditionalFormatting sqref="E69:N69">
    <cfRule type="expression" dxfId="41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F36 E26:N26 E56:N60 E22:F22 I22:N22 F52 F62 G24:N24 G70:N70 E32:N34 E69:N69 F25:N25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542</v>
      </c>
    </row>
    <row r="3" spans="2:56" ht="15" customHeight="1">
      <c r="B3" s="170"/>
    </row>
    <row r="4" spans="2:56">
      <c r="B4" s="129"/>
      <c r="C4" s="56" t="s">
        <v>444</v>
      </c>
      <c r="D4" s="57"/>
      <c r="E4" s="330" t="str">
        <f>Netzbetreiber!$D$9</f>
        <v>Gruppen- Gas- und Elektrizitätswerk Bergstraße AG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GGEW AG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9" t="str">
        <f>Netzbetreiber!$D$11</f>
        <v>9870008600008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42705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521</v>
      </c>
      <c r="D9" s="129"/>
      <c r="E9" s="129"/>
      <c r="F9" s="153">
        <f>'SLP-Verfahren'!D46</f>
        <v>1</v>
      </c>
      <c r="H9" s="171" t="s">
        <v>599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583</v>
      </c>
      <c r="D10" s="129"/>
      <c r="E10" s="129"/>
      <c r="F10" s="49">
        <v>2</v>
      </c>
      <c r="G10" s="57"/>
      <c r="H10" s="171" t="s">
        <v>600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601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582</v>
      </c>
      <c r="D13" s="342"/>
      <c r="E13" s="342"/>
      <c r="F13" s="181" t="s">
        <v>546</v>
      </c>
      <c r="G13" s="129" t="s">
        <v>544</v>
      </c>
      <c r="H13" s="261" t="s">
        <v>561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2" t="s">
        <v>85</v>
      </c>
      <c r="G14" s="263" t="s">
        <v>570</v>
      </c>
      <c r="H14" s="51">
        <v>0</v>
      </c>
      <c r="I14" s="57"/>
      <c r="J14" s="129"/>
      <c r="K14" s="129"/>
      <c r="L14" s="129"/>
      <c r="M14" s="129"/>
      <c r="N14" s="129"/>
      <c r="O14" s="332" t="s">
        <v>649</v>
      </c>
      <c r="R14" s="207" t="s">
        <v>562</v>
      </c>
      <c r="S14" s="207" t="s">
        <v>563</v>
      </c>
      <c r="T14" s="207" t="s">
        <v>564</v>
      </c>
      <c r="U14" s="207" t="s">
        <v>565</v>
      </c>
      <c r="V14" s="207" t="s">
        <v>545</v>
      </c>
      <c r="W14" s="207" t="s">
        <v>566</v>
      </c>
      <c r="X14" s="207" t="s">
        <v>567</v>
      </c>
      <c r="Y14" s="207" t="s">
        <v>568</v>
      </c>
      <c r="Z14" s="207" t="s">
        <v>569</v>
      </c>
      <c r="AA14" s="207" t="s">
        <v>570</v>
      </c>
      <c r="AB14" s="207" t="s">
        <v>571</v>
      </c>
      <c r="AC14" s="207" t="s">
        <v>572</v>
      </c>
    </row>
    <row r="15" spans="2:56" ht="19.5" customHeight="1">
      <c r="B15" s="129"/>
      <c r="C15" s="343" t="s">
        <v>387</v>
      </c>
      <c r="D15" s="343"/>
      <c r="E15" s="89" t="s">
        <v>448</v>
      </c>
      <c r="F15" s="262" t="s">
        <v>71</v>
      </c>
      <c r="G15" s="263" t="s">
        <v>564</v>
      </c>
      <c r="H15" s="51">
        <v>0</v>
      </c>
      <c r="I15" s="57"/>
      <c r="J15" s="129"/>
      <c r="K15" s="129"/>
      <c r="L15" s="129"/>
      <c r="M15" s="129"/>
      <c r="N15" s="129"/>
      <c r="O15" s="160" t="s">
        <v>526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491</v>
      </c>
      <c r="AI15" s="260" t="s">
        <v>547</v>
      </c>
      <c r="AJ15" s="260" t="s">
        <v>548</v>
      </c>
      <c r="AK15" s="260" t="s">
        <v>549</v>
      </c>
      <c r="AL15" s="260" t="s">
        <v>550</v>
      </c>
      <c r="AM15" s="260" t="s">
        <v>551</v>
      </c>
      <c r="AN15" s="260" t="s">
        <v>552</v>
      </c>
      <c r="AO15" s="260" t="s">
        <v>553</v>
      </c>
      <c r="AP15" s="260" t="s">
        <v>554</v>
      </c>
      <c r="AQ15" s="260" t="s">
        <v>555</v>
      </c>
      <c r="AR15" s="260" t="s">
        <v>556</v>
      </c>
      <c r="AS15" s="260" t="s">
        <v>557</v>
      </c>
      <c r="AT15" s="260" t="s">
        <v>558</v>
      </c>
      <c r="AU15" s="260" t="s">
        <v>559</v>
      </c>
      <c r="AV15" s="260" t="s">
        <v>560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516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522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517</v>
      </c>
      <c r="D20" s="178" t="s">
        <v>512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2" t="s">
        <v>514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535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5" t="s">
        <v>579</v>
      </c>
      <c r="F24" s="155" t="s">
        <v>580</v>
      </c>
      <c r="G24" s="155"/>
      <c r="H24" s="155"/>
      <c r="I24" s="155"/>
      <c r="J24" s="155"/>
      <c r="K24" s="155"/>
      <c r="L24" s="155"/>
      <c r="M24" s="155"/>
      <c r="N24" s="155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513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518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531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450</v>
      </c>
      <c r="D34" s="152" t="s">
        <v>449</v>
      </c>
      <c r="E34" s="155" t="s">
        <v>510</v>
      </c>
      <c r="F34" s="155" t="s">
        <v>510</v>
      </c>
      <c r="G34" s="155" t="s">
        <v>510</v>
      </c>
      <c r="H34" s="155" t="s">
        <v>510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510</v>
      </c>
      <c r="S34" s="67" t="s">
        <v>511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603</v>
      </c>
      <c r="D35" s="152" t="s">
        <v>604</v>
      </c>
      <c r="E35" s="155" t="s">
        <v>602</v>
      </c>
      <c r="F35" s="155" t="s">
        <v>602</v>
      </c>
      <c r="G35" s="155" t="s">
        <v>602</v>
      </c>
      <c r="H35" s="155" t="s">
        <v>602</v>
      </c>
      <c r="I35" s="155" t="s">
        <v>602</v>
      </c>
      <c r="J35" s="155" t="s">
        <v>602</v>
      </c>
      <c r="K35" s="155" t="s">
        <v>602</v>
      </c>
      <c r="L35" s="155" t="s">
        <v>602</v>
      </c>
      <c r="M35" s="155" t="s">
        <v>602</v>
      </c>
      <c r="N35" s="155" t="s">
        <v>602</v>
      </c>
      <c r="O35" s="183" t="s">
        <v>142</v>
      </c>
      <c r="Q35" s="209"/>
      <c r="R35" s="67" t="s">
        <v>602</v>
      </c>
      <c r="S35" s="67" t="s">
        <v>605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442</v>
      </c>
      <c r="D36" s="118" t="s">
        <v>536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529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527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533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534</v>
      </c>
      <c r="D46" s="199" t="s">
        <v>532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532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577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541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517</v>
      </c>
      <c r="D54" s="178" t="s">
        <v>512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2" t="s">
        <v>514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535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513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518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525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531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603</v>
      </c>
      <c r="D69" s="152" t="s">
        <v>604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442</v>
      </c>
      <c r="D70" s="118" t="s">
        <v>536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578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0" priority="18">
      <formula>IF(E$20&lt;=$F$18,1,0)</formula>
    </cfRule>
  </conditionalFormatting>
  <conditionalFormatting sqref="E32:N36">
    <cfRule type="expression" dxfId="39" priority="17">
      <formula>IF(E$30&lt;=$F$28,1,0)</formula>
    </cfRule>
  </conditionalFormatting>
  <conditionalFormatting sqref="E26:F26">
    <cfRule type="expression" dxfId="38" priority="16">
      <formula>IF(E$20&lt;=$F$18,1,0)</formula>
    </cfRule>
  </conditionalFormatting>
  <conditionalFormatting sqref="E26:N26">
    <cfRule type="expression" dxfId="37" priority="15">
      <formula>IF(E$20&lt;=$F$18,1,0)</formula>
    </cfRule>
  </conditionalFormatting>
  <conditionalFormatting sqref="E56:N59">
    <cfRule type="expression" dxfId="36" priority="14">
      <formula>IF(E$54&lt;=$F$52,1,0)</formula>
    </cfRule>
  </conditionalFormatting>
  <conditionalFormatting sqref="E60:N60">
    <cfRule type="expression" dxfId="35" priority="13">
      <formula>IF(E$54&lt;=$F$52,1,0)</formula>
    </cfRule>
  </conditionalFormatting>
  <conditionalFormatting sqref="E66:N68">
    <cfRule type="expression" dxfId="34" priority="12">
      <formula>IF(E$64&lt;=$F$62,1,0)</formula>
    </cfRule>
  </conditionalFormatting>
  <conditionalFormatting sqref="E65:N68 E70:N70">
    <cfRule type="expression" dxfId="33" priority="11">
      <formula>IF(E$64&gt;$F$62,1,0)</formula>
    </cfRule>
  </conditionalFormatting>
  <conditionalFormatting sqref="E56:N60">
    <cfRule type="expression" dxfId="32" priority="10">
      <formula>IF(E$54&gt;$F$52,1,0)</formula>
    </cfRule>
  </conditionalFormatting>
  <conditionalFormatting sqref="E21:N26">
    <cfRule type="expression" dxfId="31" priority="9">
      <formula>IF(E$20&gt;$F$18,1,0)</formula>
    </cfRule>
  </conditionalFormatting>
  <conditionalFormatting sqref="E32:N36">
    <cfRule type="expression" dxfId="30" priority="8">
      <formula>IF(E$30&gt;$F$28,1,0)</formula>
    </cfRule>
  </conditionalFormatting>
  <conditionalFormatting sqref="H11 H8:H9">
    <cfRule type="expression" dxfId="29" priority="7">
      <formula>IF($F$9=1,1,0)</formula>
    </cfRule>
  </conditionalFormatting>
  <conditionalFormatting sqref="E55:N55">
    <cfRule type="expression" dxfId="28" priority="6">
      <formula>IF(E$54&gt;$F$52,1,0)</formula>
    </cfRule>
  </conditionalFormatting>
  <conditionalFormatting sqref="E31:N31">
    <cfRule type="expression" dxfId="27" priority="5">
      <formula>IF(E$30&gt;$F$28,1,0)</formula>
    </cfRule>
  </conditionalFormatting>
  <conditionalFormatting sqref="E70:N70">
    <cfRule type="expression" dxfId="26" priority="4">
      <formula>IF(E$64&lt;=$F$62,1,0)</formula>
    </cfRule>
  </conditionalFormatting>
  <conditionalFormatting sqref="H10">
    <cfRule type="expression" dxfId="25" priority="3">
      <formula>IF($F$9=1,1,0)</formula>
    </cfRule>
  </conditionalFormatting>
  <conditionalFormatting sqref="E69:N69">
    <cfRule type="expression" dxfId="24" priority="2">
      <formula>IF(E$64&lt;=$F$62,1,0)</formula>
    </cfRule>
  </conditionalFormatting>
  <conditionalFormatting sqref="E69:N69">
    <cfRule type="expression" dxfId="23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F15" sqref="F1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Gruppen- Gas- und Elektrizitätswerk Bergstraße AG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GGEW AG</v>
      </c>
      <c r="E6" s="129"/>
      <c r="F6" s="129"/>
      <c r="K6" s="130" t="s">
        <v>507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9870008600008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42705</v>
      </c>
      <c r="E8" s="129"/>
      <c r="F8" s="129"/>
      <c r="H8" s="127" t="s">
        <v>494</v>
      </c>
      <c r="J8" s="131">
        <f>COUNTA(D12:D100)</f>
        <v>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492</v>
      </c>
      <c r="D10" s="133" t="s">
        <v>147</v>
      </c>
      <c r="E10" s="272" t="s">
        <v>509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633</v>
      </c>
      <c r="M10" s="149" t="s">
        <v>642</v>
      </c>
      <c r="N10" s="150" t="s">
        <v>643</v>
      </c>
      <c r="O10" s="150" t="s">
        <v>644</v>
      </c>
      <c r="P10" s="151" t="s">
        <v>645</v>
      </c>
      <c r="Q10" s="145" t="s">
        <v>634</v>
      </c>
      <c r="R10" s="135" t="s">
        <v>635</v>
      </c>
      <c r="S10" s="136" t="s">
        <v>636</v>
      </c>
      <c r="T10" s="136" t="s">
        <v>637</v>
      </c>
      <c r="U10" s="136" t="s">
        <v>638</v>
      </c>
      <c r="V10" s="136" t="s">
        <v>639</v>
      </c>
      <c r="W10" s="136" t="s">
        <v>640</v>
      </c>
      <c r="X10" s="137" t="s">
        <v>641</v>
      </c>
      <c r="Y10" s="294" t="s">
        <v>646</v>
      </c>
    </row>
    <row r="11" spans="2:26" ht="15.75" thickBot="1">
      <c r="B11" s="138" t="s">
        <v>495</v>
      </c>
      <c r="C11" s="139" t="s">
        <v>508</v>
      </c>
      <c r="D11" s="293" t="s">
        <v>247</v>
      </c>
      <c r="E11" s="163" t="s">
        <v>515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GGEW AG</v>
      </c>
      <c r="D12" s="62" t="s">
        <v>247</v>
      </c>
      <c r="E12" s="164" t="s">
        <v>493</v>
      </c>
      <c r="F12" s="296" t="str">
        <f>VLOOKUP($E12,'BDEW-Standard'!$B$3:$M$158,F$9,0)</f>
        <v>1D3</v>
      </c>
      <c r="H12" s="273">
        <f>ROUND(VLOOKUP($E12,'BDEW-Standard'!$B$3:$M$158,H$9,0),7)</f>
        <v>1.6209544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7.1643100000000001E-2</v>
      </c>
      <c r="L12" s="337">
        <f>ROUND(VLOOKUP($E12,'BDEW-Standard'!$B$3:$M$158,L$9,0),1)</f>
        <v>40</v>
      </c>
      <c r="M12" s="273">
        <f>ROUND(VLOOKUP($E12,'BDEW-Standard'!$B$3:$M$158,M$9,0),7)</f>
        <v>-4.9570000000000003E-2</v>
      </c>
      <c r="N12" s="273">
        <f>ROUND(VLOOKUP($E12,'BDEW-Standard'!$B$3:$M$158,N$9,0),7)</f>
        <v>0.84010149999999995</v>
      </c>
      <c r="O12" s="273">
        <f>ROUND(VLOOKUP($E12,'BDEW-Standard'!$B$3:$M$158,O$9,0),7)</f>
        <v>-2.209E-3</v>
      </c>
      <c r="P12" s="273">
        <f>ROUND(VLOOKUP($E12,'BDEW-Standard'!$B$3:$M$158,P$9,0),7)</f>
        <v>0.1074468</v>
      </c>
      <c r="Q12" s="338">
        <f t="shared" ref="Q12:Q18" si="1">($H12/(1+($I12/($Q$9-$L12))^$J12)+$K12)+MAX($M12*$Q$9+$N12,$O12*$Q$9+$P12)</f>
        <v>1.0000001417752751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 t="shared" ref="X12:X18" si="2"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GGEW AG</v>
      </c>
      <c r="D13" s="62" t="s">
        <v>247</v>
      </c>
      <c r="E13" s="164" t="s">
        <v>505</v>
      </c>
      <c r="F13" s="296" t="str">
        <f>VLOOKUP($E13,'BDEW-Standard'!$B$3:$M$158,F$9,0)</f>
        <v>2D3</v>
      </c>
      <c r="H13" s="273">
        <f>ROUND(VLOOKUP($E13,'BDEW-Standard'!$B$3:$M$158,H$9,0),7)</f>
        <v>1.2328654999999999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8.7335200000000002E-2</v>
      </c>
      <c r="L13" s="337">
        <f>ROUND(VLOOKUP($E13,'BDEW-Standard'!$B$3:$M$158,L$9,0),1)</f>
        <v>40</v>
      </c>
      <c r="M13" s="273">
        <f>ROUND(VLOOKUP($E13,'BDEW-Standard'!$B$3:$M$158,M$9,0),7)</f>
        <v>-4.0928399999999997E-2</v>
      </c>
      <c r="N13" s="273">
        <f>ROUND(VLOOKUP($E13,'BDEW-Standard'!$B$3:$M$158,N$9,0),7)</f>
        <v>0.76729199999999997</v>
      </c>
      <c r="O13" s="273">
        <f>ROUND(VLOOKUP($E13,'BDEW-Standard'!$B$3:$M$158,O$9,0),7)</f>
        <v>-2.232E-3</v>
      </c>
      <c r="P13" s="273">
        <f>ROUND(VLOOKUP($E13,'BDEW-Standard'!$B$3:$M$158,P$9,0),7)</f>
        <v>0.11992070000000001</v>
      </c>
      <c r="Q13" s="338">
        <f t="shared" si="1"/>
        <v>0.99999997653191475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si="2"/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GGEW AG</v>
      </c>
      <c r="D14" s="62" t="s">
        <v>247</v>
      </c>
      <c r="E14" s="164" t="s">
        <v>506</v>
      </c>
      <c r="F14" s="296" t="str">
        <f>VLOOKUP($E14,'BDEW-Standard'!$B$3:$M$158,F$9,0)</f>
        <v>DH3</v>
      </c>
      <c r="H14" s="273">
        <f>ROUND(VLOOKUP($E14,'BDEW-Standard'!$B$3:$M$158,H$9,0),7)</f>
        <v>1.3010622999999999</v>
      </c>
      <c r="I14" s="273">
        <f>ROUND(VLOOKUP($E14,'BDEW-Standard'!$B$3:$M$158,I$9,0),7)</f>
        <v>-35.681614400000001</v>
      </c>
      <c r="J14" s="273">
        <f>ROUND(VLOOKUP($E14,'BDEW-Standard'!$B$3:$M$158,J$9,0),7)</f>
        <v>6.6857975999999999</v>
      </c>
      <c r="K14" s="273">
        <f>ROUND(VLOOKUP($E14,'BDEW-Standard'!$B$3:$M$158,K$9,0),7)</f>
        <v>0.14092669999999999</v>
      </c>
      <c r="L14" s="337">
        <f>ROUND(VLOOKUP($E14,'BDEW-Standard'!$B$3:$M$158,L$9,0),1)</f>
        <v>40</v>
      </c>
      <c r="M14" s="273">
        <f>ROUND(VLOOKUP($E14,'BDEW-Standard'!$B$3:$M$158,M$9,0),7)</f>
        <v>-4.7342799999999997E-2</v>
      </c>
      <c r="N14" s="273">
        <f>ROUND(VLOOKUP($E14,'BDEW-Standard'!$B$3:$M$158,N$9,0),7)</f>
        <v>0.81416909999999998</v>
      </c>
      <c r="O14" s="273">
        <f>ROUND(VLOOKUP($E14,'BDEW-Standard'!$B$3:$M$158,O$9,0),7)</f>
        <v>-1.0601E-3</v>
      </c>
      <c r="P14" s="273">
        <f>ROUND(VLOOKUP($E14,'BDEW-Standard'!$B$3:$M$158,P$9,0),7)</f>
        <v>0.13250919999999999</v>
      </c>
      <c r="Q14" s="338">
        <f t="shared" si="1"/>
        <v>1.000000069455792</v>
      </c>
      <c r="R14" s="274">
        <f>ROUND(VLOOKUP(MID($E14,4,3),'Wochentag F(WT)'!$B$7:$J$22,R$9,0),4)</f>
        <v>1.03</v>
      </c>
      <c r="S14" s="274">
        <f>ROUND(VLOOKUP(MID($E14,4,3),'Wochentag F(WT)'!$B$7:$J$22,S$9,0),4)</f>
        <v>1.03</v>
      </c>
      <c r="T14" s="274">
        <f>ROUND(VLOOKUP(MID($E14,4,3),'Wochentag F(WT)'!$B$7:$J$22,T$9,0),4)</f>
        <v>1.02</v>
      </c>
      <c r="U14" s="274">
        <f>ROUND(VLOOKUP(MID($E14,4,3),'Wochentag F(WT)'!$B$7:$J$22,U$9,0),4)</f>
        <v>1.03</v>
      </c>
      <c r="V14" s="274">
        <f>ROUND(VLOOKUP(MID($E14,4,3),'Wochentag F(WT)'!$B$7:$J$22,V$9,0),4)</f>
        <v>1.01</v>
      </c>
      <c r="W14" s="274">
        <f>ROUND(VLOOKUP(MID($E14,4,3),'Wochentag F(WT)'!$B$7:$J$22,W$9,0),4)</f>
        <v>0.93</v>
      </c>
      <c r="X14" s="275">
        <f t="shared" si="2"/>
        <v>0.95000000000000018</v>
      </c>
      <c r="Y14" s="292"/>
      <c r="Z14" s="210"/>
    </row>
    <row r="15" spans="2:26" s="142" customFormat="1">
      <c r="B15" s="143">
        <v>4</v>
      </c>
      <c r="C15" s="144" t="str">
        <f t="shared" si="0"/>
        <v>GGEW AG</v>
      </c>
      <c r="D15" s="62" t="s">
        <v>247</v>
      </c>
      <c r="E15" s="164" t="s">
        <v>670</v>
      </c>
      <c r="F15" s="296" t="str">
        <f>VLOOKUP($E15,'BDEW-Standard'!$B$3:$M$158,F$9,0)</f>
        <v>HD4</v>
      </c>
      <c r="H15" s="273">
        <f>ROUND(VLOOKUP($E15,'BDEW-Standard'!$B$3:$M$158,H$9,0),7)</f>
        <v>3.0084346000000002</v>
      </c>
      <c r="I15" s="273">
        <f>ROUND(VLOOKUP($E15,'BDEW-Standard'!$B$3:$M$158,I$9,0),7)</f>
        <v>-36.607845300000001</v>
      </c>
      <c r="J15" s="273">
        <f>ROUND(VLOOKUP($E15,'BDEW-Standard'!$B$3:$M$158,J$9,0),7)</f>
        <v>7.3211870000000001</v>
      </c>
      <c r="K15" s="273">
        <f>ROUND(VLOOKUP($E15,'BDEW-Standard'!$B$3:$M$158,K$9,0),7)</f>
        <v>0.15496599999999999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0.97302438504000599</v>
      </c>
      <c r="R15" s="274">
        <f>ROUND(VLOOKUP(MID($E15,4,3),'Wochentag F(WT)'!$B$7:$J$22,R$9,0),4)</f>
        <v>1.03</v>
      </c>
      <c r="S15" s="274">
        <f>ROUND(VLOOKUP(MID($E15,4,3),'Wochentag F(WT)'!$B$7:$J$22,S$9,0),4)</f>
        <v>1.03</v>
      </c>
      <c r="T15" s="274">
        <f>ROUND(VLOOKUP(MID($E15,4,3),'Wochentag F(WT)'!$B$7:$J$22,T$9,0),4)</f>
        <v>1.02</v>
      </c>
      <c r="U15" s="274">
        <f>ROUND(VLOOKUP(MID($E15,4,3),'Wochentag F(WT)'!$B$7:$J$22,U$9,0),4)</f>
        <v>1.03</v>
      </c>
      <c r="V15" s="274">
        <f>ROUND(VLOOKUP(MID($E15,4,3),'Wochentag F(WT)'!$B$7:$J$22,V$9,0),4)</f>
        <v>1.01</v>
      </c>
      <c r="W15" s="274">
        <f>ROUND(VLOOKUP(MID($E15,4,3),'Wochentag F(WT)'!$B$7:$J$22,W$9,0),4)</f>
        <v>0.93</v>
      </c>
      <c r="X15" s="275">
        <f t="shared" si="2"/>
        <v>0.95000000000000018</v>
      </c>
      <c r="Y15" s="292"/>
      <c r="Z15" s="210"/>
    </row>
    <row r="16" spans="2:26" s="142" customFormat="1">
      <c r="B16" s="143">
        <v>5</v>
      </c>
      <c r="C16" s="144" t="str">
        <f t="shared" si="0"/>
        <v>GGEW AG</v>
      </c>
      <c r="D16" s="62" t="s">
        <v>247</v>
      </c>
      <c r="E16" s="164" t="s">
        <v>23</v>
      </c>
      <c r="F16" s="296" t="str">
        <f>VLOOKUP($E16,'BDEW-Standard'!$B$3:$M$158,F$9,0)</f>
        <v>F14</v>
      </c>
      <c r="H16" s="273">
        <f>ROUND(VLOOKUP($E16,'BDEW-Standard'!$B$3:$M$158,H$9,0),7)</f>
        <v>3.1935978</v>
      </c>
      <c r="I16" s="273">
        <f>ROUND(VLOOKUP($E16,'BDEW-Standard'!$B$3:$M$158,I$9,0),7)</f>
        <v>-37.414247799999998</v>
      </c>
      <c r="J16" s="273">
        <f>ROUND(VLOOKUP($E16,'BDEW-Standard'!$B$3:$M$158,J$9,0),7)</f>
        <v>6.1824021</v>
      </c>
      <c r="K16" s="273">
        <f>ROUND(VLOOKUP($E16,'BDEW-Standard'!$B$3:$M$158,K$9,0),7)</f>
        <v>7.4862499999999998E-2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0.9550096118679563</v>
      </c>
      <c r="R16" s="274">
        <f>ROUND(VLOOKUP(MID($E16,4,3),'Wochentag F(WT)'!$B$7:$J$22,R$9,0),4)</f>
        <v>1</v>
      </c>
      <c r="S16" s="274">
        <f>ROUND(VLOOKUP(MID($E16,4,3),'Wochentag F(WT)'!$B$7:$J$22,S$9,0),4)</f>
        <v>1</v>
      </c>
      <c r="T16" s="274">
        <f>ROUND(VLOOKUP(MID($E16,4,3),'Wochentag F(WT)'!$B$7:$J$22,T$9,0),4)</f>
        <v>1</v>
      </c>
      <c r="U16" s="274">
        <f>ROUND(VLOOKUP(MID($E16,4,3),'Wochentag F(WT)'!$B$7:$J$22,U$9,0),4)</f>
        <v>1</v>
      </c>
      <c r="V16" s="274">
        <f>ROUND(VLOOKUP(MID($E16,4,3),'Wochentag F(WT)'!$B$7:$J$22,V$9,0),4)</f>
        <v>1</v>
      </c>
      <c r="W16" s="274">
        <f>ROUND(VLOOKUP(MID($E16,4,3),'Wochentag F(WT)'!$B$7:$J$22,W$9,0),4)</f>
        <v>1</v>
      </c>
      <c r="X16" s="275">
        <f t="shared" si="2"/>
        <v>1</v>
      </c>
      <c r="Y16" s="292"/>
      <c r="Z16" s="210"/>
    </row>
    <row r="17" spans="2:26" s="142" customFormat="1">
      <c r="B17" s="143">
        <v>6</v>
      </c>
      <c r="C17" s="144" t="str">
        <f t="shared" si="0"/>
        <v>GGEW AG</v>
      </c>
      <c r="D17" s="62" t="s">
        <v>247</v>
      </c>
      <c r="E17" s="164" t="s">
        <v>31</v>
      </c>
      <c r="F17" s="296" t="str">
        <f>VLOOKUP($E17,'BDEW-Standard'!$B$3:$M$158,F$9,0)</f>
        <v>F24</v>
      </c>
      <c r="H17" s="273">
        <f>ROUND(VLOOKUP($E17,'BDEW-Standard'!$B$3:$M$158,H$9,0),7)</f>
        <v>2.529738</v>
      </c>
      <c r="I17" s="273">
        <f>ROUND(VLOOKUP($E17,'BDEW-Standard'!$B$3:$M$158,I$9,0),7)</f>
        <v>-35.0300145</v>
      </c>
      <c r="J17" s="273">
        <f>ROUND(VLOOKUP($E17,'BDEW-Standard'!$B$3:$M$158,J$9,0),7)</f>
        <v>6.2051109000000002</v>
      </c>
      <c r="K17" s="273">
        <f>ROUND(VLOOKUP($E17,'BDEW-Standard'!$B$3:$M$158,K$9,0),7)</f>
        <v>9.7709000000000004E-2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1.0165856991768873</v>
      </c>
      <c r="R17" s="274">
        <f>ROUND(VLOOKUP(MID($E17,4,3),'Wochentag F(WT)'!$B$7:$J$22,R$9,0),4)</f>
        <v>1</v>
      </c>
      <c r="S17" s="274">
        <f>ROUND(VLOOKUP(MID($E17,4,3),'Wochentag F(WT)'!$B$7:$J$22,S$9,0),4)</f>
        <v>1</v>
      </c>
      <c r="T17" s="274">
        <f>ROUND(VLOOKUP(MID($E17,4,3),'Wochentag F(WT)'!$B$7:$J$22,T$9,0),4)</f>
        <v>1</v>
      </c>
      <c r="U17" s="274">
        <f>ROUND(VLOOKUP(MID($E17,4,3),'Wochentag F(WT)'!$B$7:$J$22,U$9,0),4)</f>
        <v>1</v>
      </c>
      <c r="V17" s="274">
        <f>ROUND(VLOOKUP(MID($E17,4,3),'Wochentag F(WT)'!$B$7:$J$22,V$9,0),4)</f>
        <v>1</v>
      </c>
      <c r="W17" s="274">
        <f>ROUND(VLOOKUP(MID($E17,4,3),'Wochentag F(WT)'!$B$7:$J$22,W$9,0),4)</f>
        <v>1</v>
      </c>
      <c r="X17" s="275">
        <f t="shared" si="2"/>
        <v>1</v>
      </c>
      <c r="Y17" s="292"/>
      <c r="Z17" s="210"/>
    </row>
    <row r="18" spans="2:26" s="142" customFormat="1">
      <c r="B18" s="143">
        <v>7</v>
      </c>
      <c r="C18" s="144" t="str">
        <f t="shared" si="0"/>
        <v>GGEW AG</v>
      </c>
      <c r="D18" s="62" t="s">
        <v>247</v>
      </c>
      <c r="E18" s="164" t="s">
        <v>4</v>
      </c>
      <c r="F18" s="296" t="str">
        <f>VLOOKUP($E18,'BDEW-Standard'!$B$3:$M$158,F$9,0)</f>
        <v>HK3</v>
      </c>
      <c r="H18" s="273">
        <f>ROUND(VLOOKUP($E18,'BDEW-Standard'!$B$3:$M$158,H$9,0),7)</f>
        <v>0.40409319999999999</v>
      </c>
      <c r="I18" s="273">
        <f>ROUND(VLOOKUP($E18,'BDEW-Standard'!$B$3:$M$158,I$9,0),7)</f>
        <v>-24.439296800000001</v>
      </c>
      <c r="J18" s="273">
        <f>ROUND(VLOOKUP($E18,'BDEW-Standard'!$B$3:$M$158,J$9,0),7)</f>
        <v>6.5718174999999999</v>
      </c>
      <c r="K18" s="273">
        <f>ROUND(VLOOKUP($E18,'BDEW-Standard'!$B$3:$M$158,K$9,0),7)</f>
        <v>0.71077100000000004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1.0561214000512988</v>
      </c>
      <c r="R18" s="274">
        <f>ROUND(VLOOKUP(MID($E18,4,3),'Wochentag F(WT)'!$B$7:$J$22,R$9,0),4)</f>
        <v>1</v>
      </c>
      <c r="S18" s="274">
        <f>ROUND(VLOOKUP(MID($E18,4,3),'Wochentag F(WT)'!$B$7:$J$22,S$9,0),4)</f>
        <v>1</v>
      </c>
      <c r="T18" s="274">
        <f>ROUND(VLOOKUP(MID($E18,4,3),'Wochentag F(WT)'!$B$7:$J$22,T$9,0),4)</f>
        <v>1</v>
      </c>
      <c r="U18" s="274">
        <f>ROUND(VLOOKUP(MID($E18,4,3),'Wochentag F(WT)'!$B$7:$J$22,U$9,0),4)</f>
        <v>1</v>
      </c>
      <c r="V18" s="274">
        <f>ROUND(VLOOKUP(MID($E18,4,3),'Wochentag F(WT)'!$B$7:$J$22,V$9,0),4)</f>
        <v>1</v>
      </c>
      <c r="W18" s="274">
        <f>ROUND(VLOOKUP(MID($E18,4,3),'Wochentag F(WT)'!$B$7:$J$22,W$9,0),4)</f>
        <v>1</v>
      </c>
      <c r="X18" s="275">
        <f t="shared" si="2"/>
        <v>1</v>
      </c>
      <c r="Y18" s="292"/>
      <c r="Z18" s="210"/>
    </row>
    <row r="19" spans="2:26" s="142" customFormat="1">
      <c r="B19" s="143">
        <v>8</v>
      </c>
      <c r="C19" s="144" t="str">
        <f t="shared" si="0"/>
        <v>GGEW AG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GGEW AG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GGEW AG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GGEW AG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GGEW AG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GGEW AG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GGEW AG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GGEW AG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GGEW AG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GGEW AG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GGEW AG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GGEW AG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GGEW AG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GGEW AG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GGEW AG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GGEW AG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GGEW AG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GGEW AG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GGEW AG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GGEW AG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GGEW AG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GGEW AG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GGEW AG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13 H11:K12 M11:P13 R11:Y13 F20:F41 R16:Y41 M15:P41 H19:K41 F16:F18 Y14:Y15 I15:K18 I13:K13 H13:H18">
    <cfRule type="expression" dxfId="22" priority="23">
      <formula>ISERROR(F11)</formula>
    </cfRule>
  </conditionalFormatting>
  <conditionalFormatting sqref="Y12:Y41 E12:F13 E20:F41 E16:F18">
    <cfRule type="duplicateValues" dxfId="21" priority="45"/>
  </conditionalFormatting>
  <conditionalFormatting sqref="L11:L13 L15:L41">
    <cfRule type="expression" dxfId="20" priority="14">
      <formula>ISERROR(L11)</formula>
    </cfRule>
  </conditionalFormatting>
  <conditionalFormatting sqref="Q11:Q41">
    <cfRule type="expression" dxfId="19" priority="13">
      <formula>ISERROR(Q11)</formula>
    </cfRule>
  </conditionalFormatting>
  <conditionalFormatting sqref="F19">
    <cfRule type="expression" dxfId="18" priority="10">
      <formula>ISERROR(F19)</formula>
    </cfRule>
  </conditionalFormatting>
  <conditionalFormatting sqref="E19:F19">
    <cfRule type="duplicateValues" dxfId="17" priority="12"/>
  </conditionalFormatting>
  <conditionalFormatting sqref="R14:X14 M14:P14 I14:K14 F14">
    <cfRule type="expression" dxfId="16" priority="7">
      <formula>ISERROR(F14)</formula>
    </cfRule>
  </conditionalFormatting>
  <conditionalFormatting sqref="E14:F14">
    <cfRule type="duplicateValues" dxfId="15" priority="9"/>
  </conditionalFormatting>
  <conditionalFormatting sqref="L14">
    <cfRule type="expression" dxfId="14" priority="6">
      <formula>ISERROR(L14)</formula>
    </cfRule>
  </conditionalFormatting>
  <conditionalFormatting sqref="F15">
    <cfRule type="expression" dxfId="13" priority="2">
      <formula>ISERROR(F15)</formula>
    </cfRule>
  </conditionalFormatting>
  <conditionalFormatting sqref="E15:F15">
    <cfRule type="duplicateValues" dxfId="12" priority="4"/>
  </conditionalFormatting>
  <conditionalFormatting sqref="R15:X15">
    <cfRule type="expression" dxfId="11" priority="1">
      <formula>ISERROR(R15)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G13 G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D11:D13 D20:D41 D16:D18</xm:sqref>
        </x14:conditionalFormatting>
        <x14:conditionalFormatting xmlns:xm="http://schemas.microsoft.com/office/excel/2006/main">
          <x14:cfRule type="expression" priority="15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11" id="{3D41C4FB-F9FF-4B6F-8D62-5424C8287E11}">
            <xm:f>D19&lt;&gt;IF(ISERROR(VLOOKUP($E19,'BDEW-Standard'!$B$3:$M$158,1,0)),"Ind.-Koef.","BDEW")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D19</xm:sqref>
        </x14:conditionalFormatting>
        <x14:conditionalFormatting xmlns:xm="http://schemas.microsoft.com/office/excel/2006/main">
          <x14:cfRule type="expression" priority="8" id="{EBA4B215-27FC-42FE-A37E-8B1905E5174C}">
            <xm:f>D14&lt;&gt;IF(ISERROR(VLOOKUP($E14,'BDEW-Standard'!$B$3:$M$158,1,0)),"Ind.-Koef.","BDEW")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expression" priority="3" id="{64A0E5BE-8EC3-47C6-8BEA-129726CE9773}">
            <xm:f>D15&lt;&gt;IF(ISERROR(VLOOKUP($E15,'BDEW-Standard'!$B$3:$M$158,1,0)),"Ind.-Koef.","BDEW")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F10" sqref="F10:L1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Gruppen- Gas- und Elektrizitätswerk Bergstraße AG</v>
      </c>
      <c r="D4" s="76"/>
      <c r="G4" s="76"/>
      <c r="I4" s="76"/>
      <c r="J4" s="77"/>
      <c r="M4" s="86" t="s">
        <v>537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GGEW AG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9870008600008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42705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581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654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647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653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0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0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15" zoomScale="80" zoomScaleNormal="80" workbookViewId="0">
      <selection activeCell="C116" sqref="C116:N116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453</v>
      </c>
      <c r="F1" s="213" t="s">
        <v>543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650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454</v>
      </c>
      <c r="B1" s="127"/>
      <c r="D1" s="213" t="s">
        <v>543</v>
      </c>
    </row>
    <row r="2" spans="1:16">
      <c r="A2" s="233"/>
      <c r="B2" s="232" t="s">
        <v>455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456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muetzela</cp:lastModifiedBy>
  <cp:lastPrinted>2015-03-20T22:59:10Z</cp:lastPrinted>
  <dcterms:created xsi:type="dcterms:W3CDTF">2015-01-15T05:25:41Z</dcterms:created>
  <dcterms:modified xsi:type="dcterms:W3CDTF">2016-10-11T12:53:17Z</dcterms:modified>
</cp:coreProperties>
</file>